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P34" i="1"/>
  <c r="N34"/>
  <c r="M34"/>
  <c r="J34"/>
  <c r="L34"/>
  <c r="P36"/>
  <c r="P35"/>
  <c r="P32"/>
  <c r="P28"/>
  <c r="P27"/>
  <c r="P24"/>
  <c r="P25"/>
  <c r="P23"/>
  <c r="P22"/>
  <c r="P21"/>
  <c r="P20"/>
  <c r="P19"/>
  <c r="L36"/>
  <c r="L35"/>
  <c r="L32"/>
  <c r="L31"/>
  <c r="L28"/>
  <c r="L27"/>
  <c r="L24"/>
  <c r="L25"/>
  <c r="L23"/>
  <c r="L22"/>
  <c r="P10"/>
  <c r="P3"/>
  <c r="L12"/>
  <c r="P12" s="1"/>
  <c r="L7"/>
  <c r="P7" s="1"/>
  <c r="L8"/>
  <c r="P8" s="1"/>
  <c r="L5"/>
  <c r="L4"/>
  <c r="K8"/>
  <c r="O29"/>
  <c r="O31"/>
  <c r="O32"/>
  <c r="O30"/>
  <c r="O26"/>
  <c r="O12"/>
  <c r="O7"/>
  <c r="O13"/>
  <c r="O4"/>
  <c r="O5"/>
  <c r="O9"/>
  <c r="O3"/>
  <c r="O27"/>
  <c r="O24"/>
  <c r="O23"/>
  <c r="O25"/>
  <c r="O19"/>
  <c r="M36"/>
  <c r="N29"/>
  <c r="N31"/>
  <c r="N36"/>
  <c r="N33"/>
  <c r="N32"/>
  <c r="N30"/>
  <c r="N26"/>
  <c r="N24"/>
  <c r="N25"/>
  <c r="N23"/>
  <c r="N27"/>
  <c r="N19"/>
  <c r="N22"/>
  <c r="N7"/>
  <c r="N8"/>
  <c r="N13"/>
  <c r="N11"/>
  <c r="N4"/>
  <c r="N5"/>
  <c r="N3"/>
  <c r="N2"/>
  <c r="M29"/>
  <c r="M31"/>
  <c r="M30"/>
  <c r="M26"/>
  <c r="M13"/>
  <c r="P13" s="1"/>
  <c r="M25"/>
  <c r="K31"/>
  <c r="K33"/>
  <c r="K30"/>
  <c r="K26"/>
  <c r="J33"/>
  <c r="J30"/>
  <c r="J26"/>
  <c r="I31"/>
  <c r="I30"/>
  <c r="I26"/>
  <c r="I12"/>
  <c r="H29"/>
  <c r="H31"/>
  <c r="H33"/>
  <c r="H30"/>
  <c r="H26"/>
  <c r="H10"/>
  <c r="H25"/>
  <c r="G7"/>
  <c r="G10"/>
  <c r="G8"/>
  <c r="F7"/>
  <c r="F10"/>
  <c r="F8"/>
  <c r="G29"/>
  <c r="F29"/>
  <c r="G31"/>
  <c r="F31"/>
  <c r="G33"/>
  <c r="F33"/>
  <c r="G30"/>
  <c r="F30"/>
  <c r="G26"/>
  <c r="F26"/>
  <c r="G25"/>
  <c r="G22"/>
  <c r="G24"/>
  <c r="G23"/>
  <c r="G27"/>
  <c r="G19"/>
  <c r="G21"/>
  <c r="G6"/>
  <c r="F25"/>
  <c r="F27"/>
  <c r="F24"/>
  <c r="F23"/>
  <c r="F22"/>
  <c r="F19"/>
  <c r="F20"/>
  <c r="F6"/>
  <c r="E31"/>
  <c r="E33"/>
  <c r="E32"/>
  <c r="E35"/>
  <c r="E30"/>
  <c r="E26"/>
  <c r="E10"/>
  <c r="E8"/>
  <c r="D36"/>
  <c r="D35"/>
  <c r="D33"/>
  <c r="D32"/>
  <c r="D30"/>
  <c r="P30" s="1"/>
  <c r="D31"/>
  <c r="D26"/>
  <c r="D12"/>
  <c r="D10"/>
  <c r="D8"/>
  <c r="C13"/>
  <c r="C7"/>
  <c r="C8"/>
  <c r="C35"/>
  <c r="C33"/>
  <c r="C32"/>
  <c r="C30"/>
  <c r="C31"/>
  <c r="P31" s="1"/>
  <c r="C25"/>
  <c r="C26"/>
  <c r="M28"/>
  <c r="M24"/>
  <c r="M23"/>
  <c r="M22"/>
  <c r="M21"/>
  <c r="M19"/>
  <c r="M11"/>
  <c r="P11" s="1"/>
  <c r="M6"/>
  <c r="P6" s="1"/>
  <c r="M4"/>
  <c r="P4" s="1"/>
  <c r="M9"/>
  <c r="P9" s="1"/>
  <c r="M5"/>
  <c r="P5" s="1"/>
  <c r="M2"/>
  <c r="P2" s="1"/>
  <c r="C24"/>
  <c r="C23"/>
  <c r="C22"/>
  <c r="C6"/>
  <c r="C4"/>
  <c r="C5"/>
  <c r="C2"/>
  <c r="E24"/>
  <c r="E22"/>
  <c r="E21"/>
  <c r="E20"/>
  <c r="E6"/>
  <c r="E5"/>
  <c r="E3"/>
  <c r="D27"/>
  <c r="D24"/>
  <c r="D23"/>
  <c r="D22"/>
  <c r="D21"/>
  <c r="D20"/>
  <c r="D11"/>
  <c r="D6"/>
  <c r="D4"/>
  <c r="D9"/>
  <c r="D5"/>
  <c r="D3"/>
  <c r="D2"/>
  <c r="H24"/>
  <c r="H23"/>
  <c r="H21"/>
  <c r="H20"/>
  <c r="H5"/>
  <c r="I22"/>
  <c r="I23"/>
  <c r="I27"/>
  <c r="I28"/>
  <c r="I6"/>
  <c r="I3"/>
  <c r="I11"/>
  <c r="I4"/>
  <c r="I2"/>
  <c r="K5"/>
  <c r="K2"/>
  <c r="K3"/>
  <c r="K4"/>
  <c r="K6"/>
  <c r="K24"/>
  <c r="K22"/>
  <c r="K23"/>
  <c r="K28"/>
  <c r="K27"/>
  <c r="J27"/>
  <c r="J24"/>
  <c r="J22"/>
  <c r="J23"/>
  <c r="J28"/>
  <c r="J4"/>
  <c r="J5"/>
  <c r="J2"/>
  <c r="P33" l="1"/>
  <c r="P26"/>
  <c r="P29"/>
</calcChain>
</file>

<file path=xl/sharedStrings.xml><?xml version="1.0" encoding="utf-8"?>
<sst xmlns="http://schemas.openxmlformats.org/spreadsheetml/2006/main" count="60" uniqueCount="45">
  <si>
    <t>ЧиП Волжского</t>
  </si>
  <si>
    <t>Чемпионат Обл. 20.04</t>
  </si>
  <si>
    <t>Чемпионат Обл.15.06</t>
  </si>
  <si>
    <t>Чемпионат Обл.21.04</t>
  </si>
  <si>
    <t>Тетис 21.09</t>
  </si>
  <si>
    <t>Чемпионат Обл.14.09</t>
  </si>
  <si>
    <t>Чемпионат Обл.05.10</t>
  </si>
  <si>
    <t>сумма</t>
  </si>
  <si>
    <t>Тетис 22.09</t>
  </si>
  <si>
    <t>место</t>
  </si>
  <si>
    <t>Юдин Давид</t>
  </si>
  <si>
    <t>Чистохвалов Антон</t>
  </si>
  <si>
    <t>Березин Андрей</t>
  </si>
  <si>
    <t>Содолев Алексей</t>
  </si>
  <si>
    <t>Герасимова Анна</t>
  </si>
  <si>
    <t>Толкачева Валентина</t>
  </si>
  <si>
    <t>Боровицкая Ирина</t>
  </si>
  <si>
    <t>Полуосьмак Александр</t>
  </si>
  <si>
    <t>Киршина Тамара</t>
  </si>
  <si>
    <t>Смирнова Ирина</t>
  </si>
  <si>
    <t>Чемпионат г.Волгограда04.05</t>
  </si>
  <si>
    <t>Чемпионат г.Волгограда 05.05</t>
  </si>
  <si>
    <t>Бочаров Михаил</t>
  </si>
  <si>
    <t>Легенда Волжского 4 этап 20.10</t>
  </si>
  <si>
    <t xml:space="preserve">Чемпионат Обл. марафон 16.11 </t>
  </si>
  <si>
    <t>Гринина Анастасия</t>
  </si>
  <si>
    <t>Абраменкова Светлана</t>
  </si>
  <si>
    <t>Фалько Екатерина</t>
  </si>
  <si>
    <t>Боева Анна</t>
  </si>
  <si>
    <t>Шаповалова Анна</t>
  </si>
  <si>
    <t>Краснощекова Марина</t>
  </si>
  <si>
    <t>Харитонова Виктория</t>
  </si>
  <si>
    <t>Шаповалов Михаил</t>
  </si>
  <si>
    <t>Гринин Владимир</t>
  </si>
  <si>
    <t>Васильев Виктор</t>
  </si>
  <si>
    <t>Трещев Антон</t>
  </si>
  <si>
    <t>Маятский Кирилл</t>
  </si>
  <si>
    <t>Гаранин Алексей</t>
  </si>
  <si>
    <t>Аристов Павел</t>
  </si>
  <si>
    <t>Смирнов Алексей</t>
  </si>
  <si>
    <t>Павлов Александр</t>
  </si>
  <si>
    <t>Соломенов Сергей</t>
  </si>
  <si>
    <t>Васильев Дмитрий</t>
  </si>
  <si>
    <t>Волгоградская призма 2 этап 29.09</t>
  </si>
  <si>
    <t>Химаныч Евгений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</si>
</sst>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61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1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right"/>
    </xf>
    <xf numFmtId="0" fontId="1" fillId="2" borderId="1" xfId="1" applyBorder="1"/>
    <xf numFmtId="0" fontId="3" fillId="0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/>
    <xf numFmtId="0" fontId="0" fillId="0" borderId="2" xfId="0" applyBorder="1"/>
    <xf numFmtId="0" fontId="2" fillId="0" borderId="1" xfId="0" applyFont="1" applyBorder="1"/>
    <xf numFmtId="0" fontId="1" fillId="2" borderId="1" xfId="1" applyFont="1" applyBorder="1"/>
    <xf numFmtId="0" fontId="0" fillId="0" borderId="1" xfId="0" applyFont="1" applyBorder="1"/>
    <xf numFmtId="0" fontId="2" fillId="0" borderId="1" xfId="0" applyFont="1" applyFill="1" applyBorder="1"/>
    <xf numFmtId="0" fontId="4" fillId="0" borderId="1" xfId="0" applyFont="1" applyBorder="1"/>
    <xf numFmtId="0" fontId="3" fillId="0" borderId="0" xfId="0" applyFont="1" applyFill="1" applyBorder="1"/>
    <xf numFmtId="0" fontId="0" fillId="0" borderId="0" xfId="0" applyBorder="1"/>
    <xf numFmtId="0" fontId="4" fillId="0" borderId="0" xfId="0" applyFont="1" applyBorder="1"/>
    <xf numFmtId="0" fontId="4" fillId="3" borderId="1" xfId="0" applyFont="1" applyFill="1" applyBorder="1"/>
    <xf numFmtId="0" fontId="5" fillId="2" borderId="1" xfId="1" applyFont="1" applyBorder="1"/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5" fillId="2" borderId="1" xfId="1" applyFont="1" applyBorder="1" applyAlignment="1">
      <alignment horizontal="left" vertical="center"/>
    </xf>
    <xf numFmtId="0" fontId="3" fillId="0" borderId="0" xfId="0" applyFont="1" applyFill="1" applyBorder="1" applyAlignment="1">
      <alignment horizontal="right"/>
    </xf>
    <xf numFmtId="0" fontId="3" fillId="0" borderId="3" xfId="0" applyFont="1" applyBorder="1"/>
    <xf numFmtId="0" fontId="3" fillId="0" borderId="3" xfId="0" applyFont="1" applyFill="1" applyBorder="1"/>
  </cellXfs>
  <cellStyles count="2">
    <cellStyle name="Обычный" xfId="0" builtinId="0"/>
    <cellStyle name="Хороший" xfId="1" builtin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topLeftCell="A7" workbookViewId="0">
      <selection activeCell="G40" sqref="G40"/>
    </sheetView>
  </sheetViews>
  <sheetFormatPr defaultRowHeight="15"/>
  <cols>
    <col min="1" max="1" width="4.5703125" customWidth="1"/>
    <col min="2" max="2" width="23.42578125" customWidth="1"/>
    <col min="3" max="3" width="11.5703125" customWidth="1"/>
    <col min="4" max="4" width="12.5703125" customWidth="1"/>
    <col min="5" max="5" width="12.28515625" customWidth="1"/>
    <col min="6" max="6" width="13.85546875" customWidth="1"/>
    <col min="7" max="7" width="13.140625" customWidth="1"/>
    <col min="8" max="8" width="13.85546875" customWidth="1"/>
    <col min="9" max="9" width="14.140625" customWidth="1"/>
    <col min="10" max="10" width="11.5703125" customWidth="1"/>
    <col min="11" max="11" width="14.85546875" customWidth="1"/>
    <col min="12" max="12" width="16" customWidth="1"/>
    <col min="13" max="13" width="15" customWidth="1"/>
    <col min="14" max="14" width="15.7109375" customWidth="1"/>
    <col min="15" max="15" width="16.85546875" customWidth="1"/>
    <col min="16" max="16" width="17.140625" customWidth="1"/>
    <col min="17" max="17" width="18" customWidth="1"/>
    <col min="18" max="18" width="17.5703125" customWidth="1"/>
  </cols>
  <sheetData>
    <row r="1" spans="1:19" ht="47.25">
      <c r="A1" s="2"/>
      <c r="B1" s="2"/>
      <c r="C1" s="3" t="s">
        <v>0</v>
      </c>
      <c r="D1" s="3" t="s">
        <v>1</v>
      </c>
      <c r="E1" s="3" t="s">
        <v>3</v>
      </c>
      <c r="F1" s="3" t="s">
        <v>20</v>
      </c>
      <c r="G1" s="3" t="s">
        <v>21</v>
      </c>
      <c r="H1" s="3" t="s">
        <v>2</v>
      </c>
      <c r="I1" s="3" t="s">
        <v>5</v>
      </c>
      <c r="J1" s="3" t="s">
        <v>4</v>
      </c>
      <c r="K1" s="3" t="s">
        <v>8</v>
      </c>
      <c r="L1" s="3" t="s">
        <v>43</v>
      </c>
      <c r="M1" s="3" t="s">
        <v>6</v>
      </c>
      <c r="N1" s="3" t="s">
        <v>23</v>
      </c>
      <c r="O1" s="3" t="s">
        <v>24</v>
      </c>
      <c r="P1" s="2" t="s">
        <v>7</v>
      </c>
      <c r="Q1" s="10" t="s">
        <v>9</v>
      </c>
    </row>
    <row r="2" spans="1:19" ht="15.75">
      <c r="A2" s="4">
        <v>1</v>
      </c>
      <c r="B2" s="29" t="s">
        <v>30</v>
      </c>
      <c r="C2" s="15">
        <f>C16/2513*30</f>
        <v>27.886987664146439</v>
      </c>
      <c r="D2" s="16">
        <f>D16/3552*35</f>
        <v>34.911317567567565</v>
      </c>
      <c r="E2" s="16">
        <v>35</v>
      </c>
      <c r="F2" s="17">
        <v>30</v>
      </c>
      <c r="G2" s="17">
        <v>30</v>
      </c>
      <c r="H2" s="16">
        <v>35</v>
      </c>
      <c r="I2" s="16">
        <f>I16/3467*35</f>
        <v>34.34381309489472</v>
      </c>
      <c r="J2" s="15">
        <f>J16/3040*J6</f>
        <v>27.631578947368421</v>
      </c>
      <c r="K2" s="15">
        <f>K16/3863*30</f>
        <v>29.246699456381052</v>
      </c>
      <c r="L2" s="17">
        <v>30</v>
      </c>
      <c r="M2" s="9">
        <f>M16/1980*35</f>
        <v>32.648989898989896</v>
      </c>
      <c r="N2" s="17">
        <f>N16/3793*30</f>
        <v>29.588716055892434</v>
      </c>
      <c r="O2" s="9">
        <v>35</v>
      </c>
      <c r="P2" s="4">
        <f>D2+E2+H2+I2+M2+O2</f>
        <v>206.90412056145217</v>
      </c>
      <c r="Q2" s="11">
        <v>1</v>
      </c>
    </row>
    <row r="3" spans="1:19" ht="15.75">
      <c r="A3" s="4">
        <v>2</v>
      </c>
      <c r="B3" s="29" t="s">
        <v>29</v>
      </c>
      <c r="C3" s="9">
        <v>30</v>
      </c>
      <c r="D3" s="16">
        <f>D16/3891*35</f>
        <v>31.869699306090979</v>
      </c>
      <c r="E3" s="16">
        <f>E16/2400*35</f>
        <v>33.235416666666666</v>
      </c>
      <c r="F3" s="17">
        <v>0</v>
      </c>
      <c r="G3" s="17">
        <v>0</v>
      </c>
      <c r="H3" s="15">
        <v>0</v>
      </c>
      <c r="I3" s="15">
        <f>I16/5118*35</f>
        <v>23.264947245017584</v>
      </c>
      <c r="J3" s="15">
        <v>0</v>
      </c>
      <c r="K3" s="9">
        <f>K16/3800*30</f>
        <v>29.731578947368423</v>
      </c>
      <c r="L3" s="18">
        <v>0</v>
      </c>
      <c r="M3" s="16">
        <v>35</v>
      </c>
      <c r="N3" s="17">
        <f>N16/3897*30</f>
        <v>28.799076212471132</v>
      </c>
      <c r="O3" s="9">
        <f>O16/5828*35</f>
        <v>34.765785861358957</v>
      </c>
      <c r="P3" s="4">
        <f>C3+D3+E3+K3+M3+O3</f>
        <v>194.60248078148501</v>
      </c>
      <c r="Q3" s="11">
        <v>2</v>
      </c>
    </row>
    <row r="4" spans="1:19" ht="15.75">
      <c r="A4" s="4">
        <v>3</v>
      </c>
      <c r="B4" s="29" t="s">
        <v>26</v>
      </c>
      <c r="C4" s="16">
        <f>C16/2621*30</f>
        <v>26.73788630293781</v>
      </c>
      <c r="D4" s="16">
        <f>D16/4097*35</f>
        <v>30.267268733219431</v>
      </c>
      <c r="E4" s="15">
        <v>0</v>
      </c>
      <c r="F4" s="17">
        <v>0</v>
      </c>
      <c r="G4" s="17">
        <v>0</v>
      </c>
      <c r="H4" s="15">
        <v>0</v>
      </c>
      <c r="I4" s="1">
        <f>I16/4485*35</f>
        <v>26.548494983277592</v>
      </c>
      <c r="J4" s="15">
        <f>J16/3290*J6</f>
        <v>25.531914893617021</v>
      </c>
      <c r="K4" s="16">
        <f>K16/K16*30</f>
        <v>30</v>
      </c>
      <c r="L4" s="17">
        <f>L16/3231*30</f>
        <v>26.369545032497676</v>
      </c>
      <c r="M4" s="16">
        <f>M16/1925*35</f>
        <v>33.581818181818186</v>
      </c>
      <c r="N4" s="9">
        <f>N16/4206*30</f>
        <v>26.68330955777461</v>
      </c>
      <c r="O4" s="9">
        <f>O16/6106*35</f>
        <v>33.182934818211599</v>
      </c>
      <c r="P4" s="4">
        <f>C4+D4+K4+M4+N4+O4</f>
        <v>180.45321759396165</v>
      </c>
      <c r="Q4" s="11">
        <v>3</v>
      </c>
    </row>
    <row r="5" spans="1:19" ht="15.75">
      <c r="A5" s="4">
        <v>4</v>
      </c>
      <c r="B5" s="29" t="s">
        <v>28</v>
      </c>
      <c r="C5" s="16">
        <f>C16/2534*30</f>
        <v>27.655880031570639</v>
      </c>
      <c r="D5" s="15">
        <f>D16/5118*35</f>
        <v>24.229191090269637</v>
      </c>
      <c r="E5" s="16">
        <f>E16/2732*35</f>
        <v>29.196559297218155</v>
      </c>
      <c r="F5" s="17">
        <v>0</v>
      </c>
      <c r="G5" s="17">
        <v>0</v>
      </c>
      <c r="H5" s="15">
        <f>H16/2317*35</f>
        <v>23.610271903323262</v>
      </c>
      <c r="I5" s="15">
        <v>0</v>
      </c>
      <c r="J5" s="16">
        <f>J16/3161*J6</f>
        <v>26.573869028788359</v>
      </c>
      <c r="K5" s="1">
        <f>K16/4515*30</f>
        <v>25.02325581395349</v>
      </c>
      <c r="L5" s="17">
        <f>L16/3338*30</f>
        <v>25.524266027561413</v>
      </c>
      <c r="M5" s="16">
        <f>M16/1856*35</f>
        <v>34.830280172413794</v>
      </c>
      <c r="N5" s="9">
        <f>N16/4082*30</f>
        <v>27.493875551200389</v>
      </c>
      <c r="O5" s="9">
        <f>O16/6077*35</f>
        <v>33.341286819154185</v>
      </c>
      <c r="P5" s="4">
        <f>C5+E5+J5+M5+N5+O5</f>
        <v>179.09175090034552</v>
      </c>
      <c r="Q5" s="1">
        <v>4</v>
      </c>
    </row>
    <row r="6" spans="1:19" ht="15.75">
      <c r="A6" s="4">
        <v>5</v>
      </c>
      <c r="B6" s="29" t="s">
        <v>25</v>
      </c>
      <c r="C6" s="16">
        <f>C16/2439*30</f>
        <v>28.73308733087331</v>
      </c>
      <c r="D6" s="16">
        <f>D16/4144*35</f>
        <v>29.923986486486488</v>
      </c>
      <c r="E6" s="15">
        <f>E16/2994*35</f>
        <v>26.641616566466265</v>
      </c>
      <c r="F6" s="9">
        <f>F16/3029*30</f>
        <v>26.682073291515351</v>
      </c>
      <c r="G6" s="17">
        <f>G16/4814*30</f>
        <v>22.521811383464893</v>
      </c>
      <c r="H6" s="15">
        <v>0</v>
      </c>
      <c r="I6" s="15">
        <f>I16/5278*35</f>
        <v>22.559681697612731</v>
      </c>
      <c r="J6" s="16">
        <v>30</v>
      </c>
      <c r="K6" s="16">
        <f>K16/3768*30</f>
        <v>29.984076433121018</v>
      </c>
      <c r="L6" s="17">
        <v>0</v>
      </c>
      <c r="M6" s="16">
        <f>M16/2246*35</f>
        <v>28.78227960819234</v>
      </c>
      <c r="N6" s="17">
        <v>0</v>
      </c>
      <c r="O6" s="17">
        <v>0</v>
      </c>
      <c r="P6" s="4">
        <f>C6+D6+F6+J6+K6+M6</f>
        <v>174.10550315018853</v>
      </c>
      <c r="Q6" s="1">
        <v>5</v>
      </c>
    </row>
    <row r="7" spans="1:19" ht="15.75">
      <c r="A7" s="4">
        <v>6</v>
      </c>
      <c r="B7" s="30" t="s">
        <v>15</v>
      </c>
      <c r="C7" s="9">
        <f>C16/2720*30</f>
        <v>25.764705882352938</v>
      </c>
      <c r="D7" s="17">
        <v>0</v>
      </c>
      <c r="E7" s="17">
        <v>0</v>
      </c>
      <c r="F7" s="9">
        <f>F16/2866*30</f>
        <v>28.199581297976273</v>
      </c>
      <c r="G7" s="9">
        <f>G16/4095*30</f>
        <v>26.476190476190474</v>
      </c>
      <c r="H7" s="17"/>
      <c r="I7" s="17">
        <v>0</v>
      </c>
      <c r="J7" s="18">
        <v>0</v>
      </c>
      <c r="K7" s="18">
        <v>0</v>
      </c>
      <c r="L7" s="9">
        <f>L16/3255*30</f>
        <v>26.175115207373274</v>
      </c>
      <c r="M7" s="17">
        <v>0</v>
      </c>
      <c r="N7" s="9">
        <f>N16/4697*30</f>
        <v>23.893974877581435</v>
      </c>
      <c r="O7" s="9">
        <f>O16/6417*35</f>
        <v>31.574723390992677</v>
      </c>
      <c r="P7" s="19">
        <f>C7+F7+G7+L7+N7+O7</f>
        <v>162.08429113246706</v>
      </c>
      <c r="Q7" s="1">
        <v>6</v>
      </c>
    </row>
    <row r="8" spans="1:19" ht="15.75">
      <c r="A8" s="6">
        <v>7</v>
      </c>
      <c r="B8" s="30" t="s">
        <v>14</v>
      </c>
      <c r="C8" s="9">
        <f>C16/2534*30</f>
        <v>27.655880031570639</v>
      </c>
      <c r="D8" s="9">
        <f>D16/4614*35</f>
        <v>26.875812743823147</v>
      </c>
      <c r="E8" s="9">
        <f>E16/3194*35</f>
        <v>24.973387601753288</v>
      </c>
      <c r="F8" s="9">
        <f>F16/3186*30</f>
        <v>25.36723163841808</v>
      </c>
      <c r="G8" s="1">
        <f>G16/4703*30</f>
        <v>23.053370189240912</v>
      </c>
      <c r="H8" s="17">
        <v>0</v>
      </c>
      <c r="I8" s="17">
        <v>0</v>
      </c>
      <c r="J8" s="18">
        <v>0</v>
      </c>
      <c r="K8" s="9">
        <f>K16/4311*30</f>
        <v>26.207376478775227</v>
      </c>
      <c r="L8" s="9">
        <f>L16/3140*30</f>
        <v>27.133757961783441</v>
      </c>
      <c r="M8" s="17">
        <v>0</v>
      </c>
      <c r="N8" s="1">
        <f>N16/5385*30</f>
        <v>20.841225626740947</v>
      </c>
      <c r="O8" s="17">
        <v>0</v>
      </c>
      <c r="P8" s="19">
        <f>C8+D8+E8+F8+K8+L8</f>
        <v>158.21344645612379</v>
      </c>
      <c r="Q8" s="1">
        <v>7</v>
      </c>
    </row>
    <row r="9" spans="1:19" ht="15.75">
      <c r="A9" s="6">
        <v>8</v>
      </c>
      <c r="B9" s="29" t="s">
        <v>27</v>
      </c>
      <c r="C9" s="15">
        <v>0</v>
      </c>
      <c r="D9" s="16">
        <f>D16/3869*35</f>
        <v>32.050917549754459</v>
      </c>
      <c r="E9" s="15">
        <v>0</v>
      </c>
      <c r="F9" s="17">
        <v>0</v>
      </c>
      <c r="G9" s="17">
        <v>0</v>
      </c>
      <c r="H9" s="15">
        <v>0</v>
      </c>
      <c r="I9" s="16">
        <v>35</v>
      </c>
      <c r="J9" s="15">
        <v>0</v>
      </c>
      <c r="K9" s="15">
        <v>0</v>
      </c>
      <c r="L9" s="1">
        <v>0</v>
      </c>
      <c r="M9" s="16">
        <f>M16/2535*35</f>
        <v>25.500986193293887</v>
      </c>
      <c r="N9" s="17">
        <v>0</v>
      </c>
      <c r="O9" s="9">
        <f>O16/5857*35</f>
        <v>34.593648625576236</v>
      </c>
      <c r="P9" s="4">
        <f>D9+I9+M9+O9</f>
        <v>127.14555236862458</v>
      </c>
      <c r="Q9" s="1">
        <v>8</v>
      </c>
    </row>
    <row r="10" spans="1:19" ht="15.75">
      <c r="A10" s="6">
        <v>9</v>
      </c>
      <c r="B10" s="30" t="s">
        <v>18</v>
      </c>
      <c r="C10" s="17">
        <v>0</v>
      </c>
      <c r="D10" s="9">
        <f>D16/5123*35</f>
        <v>24.205543626781182</v>
      </c>
      <c r="E10" s="9">
        <f>E16/3353*35</f>
        <v>23.789144050104387</v>
      </c>
      <c r="F10" s="9">
        <f>F16/3654*30</f>
        <v>22.118226600985221</v>
      </c>
      <c r="G10" s="9">
        <f>G16/4554*30</f>
        <v>23.80764163372859</v>
      </c>
      <c r="H10" s="9">
        <f>H16/1862*35</f>
        <v>29.3796992481203</v>
      </c>
      <c r="I10" s="17">
        <v>0</v>
      </c>
      <c r="J10" s="18">
        <v>0</v>
      </c>
      <c r="K10" s="18">
        <v>0</v>
      </c>
      <c r="L10" s="17">
        <v>0</v>
      </c>
      <c r="M10" s="17">
        <v>0</v>
      </c>
      <c r="N10" s="17">
        <v>0</v>
      </c>
      <c r="O10" s="17">
        <v>0</v>
      </c>
      <c r="P10" s="19">
        <f>D10+E10+F10+G10+H10</f>
        <v>123.30025515971968</v>
      </c>
      <c r="Q10" s="1">
        <v>9</v>
      </c>
    </row>
    <row r="11" spans="1:19" ht="15.75">
      <c r="A11" s="6">
        <v>10</v>
      </c>
      <c r="B11" s="30" t="s">
        <v>31</v>
      </c>
      <c r="C11" s="17">
        <v>0</v>
      </c>
      <c r="D11" s="16">
        <f>D16/3846*35</f>
        <v>32.242589703588145</v>
      </c>
      <c r="E11" s="17">
        <v>0</v>
      </c>
      <c r="F11" s="17">
        <v>0</v>
      </c>
      <c r="G11" s="17">
        <v>0</v>
      </c>
      <c r="H11" s="17">
        <v>0</v>
      </c>
      <c r="I11" s="16">
        <f>I16/3643*35</f>
        <v>32.684600603897891</v>
      </c>
      <c r="J11" s="18">
        <v>0</v>
      </c>
      <c r="K11" s="17">
        <v>0</v>
      </c>
      <c r="L11" s="1">
        <v>0</v>
      </c>
      <c r="M11" s="16">
        <f>M16/1908*35</f>
        <v>33.881027253668762</v>
      </c>
      <c r="N11" s="9">
        <f>N16/4659*30</f>
        <v>24.088860270444304</v>
      </c>
      <c r="O11" s="17">
        <v>0</v>
      </c>
      <c r="P11" s="19">
        <f>D11+I11+M11+N11</f>
        <v>122.89707783159909</v>
      </c>
      <c r="Q11" s="1">
        <v>10</v>
      </c>
    </row>
    <row r="12" spans="1:19" ht="15.75">
      <c r="A12" s="6">
        <v>11</v>
      </c>
      <c r="B12" s="30" t="s">
        <v>19</v>
      </c>
      <c r="C12" s="17">
        <v>0</v>
      </c>
      <c r="D12" s="9">
        <f>D16/6006*35</f>
        <v>20.646853146853147</v>
      </c>
      <c r="E12" s="17">
        <v>0</v>
      </c>
      <c r="F12" s="17">
        <v>0</v>
      </c>
      <c r="G12" s="17">
        <v>0</v>
      </c>
      <c r="H12" s="17">
        <v>0</v>
      </c>
      <c r="I12" s="9">
        <f>I16/6940*35</f>
        <v>17.157060518731988</v>
      </c>
      <c r="J12" s="18">
        <v>0</v>
      </c>
      <c r="K12" s="18">
        <v>0</v>
      </c>
      <c r="L12" s="9">
        <f>L16/4515*30</f>
        <v>18.870431893687709</v>
      </c>
      <c r="M12" s="17">
        <v>0</v>
      </c>
      <c r="N12" s="9">
        <v>30</v>
      </c>
      <c r="O12" s="9">
        <f>O16/6092*35</f>
        <v>33.259192383453708</v>
      </c>
      <c r="P12" s="19">
        <f>D12+I12+L12+N12+O12</f>
        <v>119.93353794272655</v>
      </c>
      <c r="Q12" s="1">
        <v>11</v>
      </c>
    </row>
    <row r="13" spans="1:19" ht="15.75">
      <c r="A13" s="13">
        <v>12</v>
      </c>
      <c r="B13" s="30" t="s">
        <v>16</v>
      </c>
      <c r="C13" s="9">
        <f>C16/3673*30</f>
        <v>19.07977130411108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8">
        <v>0</v>
      </c>
      <c r="K13" s="18">
        <v>0</v>
      </c>
      <c r="L13" s="1">
        <v>0</v>
      </c>
      <c r="M13" s="9">
        <f>M16/3205*35</f>
        <v>20.170046801872076</v>
      </c>
      <c r="N13" s="9">
        <f>N16/7117*30</f>
        <v>15.769284811015877</v>
      </c>
      <c r="O13" s="9">
        <f>O16/10897*35</f>
        <v>18.593649628338074</v>
      </c>
      <c r="P13" s="19">
        <f>C13+M13+N13+O13</f>
        <v>73.612752545337102</v>
      </c>
      <c r="Q13" s="14">
        <v>12</v>
      </c>
    </row>
    <row r="14" spans="1:19" ht="15.75">
      <c r="A14" s="20"/>
      <c r="Q14" s="21"/>
    </row>
    <row r="16" spans="1:19">
      <c r="C16">
        <v>2336</v>
      </c>
      <c r="D16">
        <v>3543</v>
      </c>
      <c r="E16">
        <v>2279</v>
      </c>
      <c r="F16">
        <v>2694</v>
      </c>
      <c r="G16">
        <v>3614</v>
      </c>
      <c r="H16">
        <v>1563</v>
      </c>
      <c r="I16">
        <v>3402</v>
      </c>
      <c r="J16">
        <v>2800</v>
      </c>
      <c r="K16">
        <v>3766</v>
      </c>
      <c r="L16">
        <v>2840</v>
      </c>
      <c r="M16">
        <v>1847</v>
      </c>
      <c r="N16">
        <v>3741</v>
      </c>
      <c r="O16">
        <v>5789</v>
      </c>
      <c r="S16" s="21"/>
    </row>
    <row r="17" spans="1:19" ht="15.75">
      <c r="R17" s="22"/>
      <c r="S17" s="21"/>
    </row>
    <row r="18" spans="1:19" ht="47.25">
      <c r="A18" s="2"/>
      <c r="B18" s="2"/>
      <c r="C18" s="3" t="s">
        <v>0</v>
      </c>
      <c r="D18" s="3" t="s">
        <v>1</v>
      </c>
      <c r="E18" s="3" t="s">
        <v>3</v>
      </c>
      <c r="F18" s="3" t="s">
        <v>20</v>
      </c>
      <c r="G18" s="3" t="s">
        <v>21</v>
      </c>
      <c r="H18" s="3" t="s">
        <v>2</v>
      </c>
      <c r="I18" s="3" t="s">
        <v>5</v>
      </c>
      <c r="J18" s="3" t="s">
        <v>4</v>
      </c>
      <c r="K18" s="3" t="s">
        <v>8</v>
      </c>
      <c r="L18" s="3" t="s">
        <v>43</v>
      </c>
      <c r="M18" s="3" t="s">
        <v>6</v>
      </c>
      <c r="N18" s="3" t="s">
        <v>23</v>
      </c>
      <c r="O18" s="3" t="s">
        <v>24</v>
      </c>
      <c r="P18" s="2" t="s">
        <v>7</v>
      </c>
      <c r="Q18" s="10" t="s">
        <v>9</v>
      </c>
    </row>
    <row r="19" spans="1:19" ht="15.75">
      <c r="A19" s="8">
        <v>1</v>
      </c>
      <c r="B19" s="4" t="s">
        <v>34</v>
      </c>
      <c r="C19" s="4">
        <v>0</v>
      </c>
      <c r="D19" s="24">
        <v>35</v>
      </c>
      <c r="E19" s="24">
        <v>35</v>
      </c>
      <c r="F19" s="9">
        <f>F38/2383*30</f>
        <v>29.08099034830046</v>
      </c>
      <c r="G19" s="19">
        <f>G38/3538*30</f>
        <v>26.396269078575465</v>
      </c>
      <c r="H19" s="24">
        <v>35</v>
      </c>
      <c r="I19" s="4">
        <v>0</v>
      </c>
      <c r="J19" s="4">
        <v>0</v>
      </c>
      <c r="K19" s="4">
        <v>0</v>
      </c>
      <c r="L19" s="19">
        <v>0</v>
      </c>
      <c r="M19" s="24">
        <f>M38/1447*35</f>
        <v>34.032480995162409</v>
      </c>
      <c r="N19" s="19">
        <f>N38/3042*30</f>
        <v>28.698224852071007</v>
      </c>
      <c r="O19" s="24">
        <f>O38/6483*35</f>
        <v>34.346753046429122</v>
      </c>
      <c r="P19" s="4">
        <f>D19+E19+F19+H19+M19+O19</f>
        <v>202.46022438989201</v>
      </c>
      <c r="Q19" s="23">
        <v>1</v>
      </c>
    </row>
    <row r="20" spans="1:19" ht="15.75">
      <c r="A20" s="8">
        <v>2</v>
      </c>
      <c r="B20" s="4" t="s">
        <v>32</v>
      </c>
      <c r="C20" s="4">
        <v>0</v>
      </c>
      <c r="D20" s="9">
        <f>D38/4060*35</f>
        <v>31.956896551724135</v>
      </c>
      <c r="E20" s="24">
        <f>E38/2008*35</f>
        <v>34.267928286852587</v>
      </c>
      <c r="F20" s="19">
        <f>F38/2344*30</f>
        <v>29.564846416382252</v>
      </c>
      <c r="G20" s="9">
        <v>30</v>
      </c>
      <c r="H20" s="24">
        <f>H38/1639*35</f>
        <v>34.188529591214156</v>
      </c>
      <c r="I20" s="24">
        <v>35</v>
      </c>
      <c r="J20" s="4">
        <v>0</v>
      </c>
      <c r="K20" s="5">
        <v>0</v>
      </c>
      <c r="L20" s="19">
        <v>30</v>
      </c>
      <c r="M20" s="24">
        <v>35</v>
      </c>
      <c r="N20" s="19">
        <v>0</v>
      </c>
      <c r="O20" s="19">
        <v>0</v>
      </c>
      <c r="P20" s="4">
        <f>D20+E20+G20+H20+I20+M20</f>
        <v>200.41335442979087</v>
      </c>
      <c r="Q20" s="23">
        <v>2</v>
      </c>
    </row>
    <row r="21" spans="1:19" ht="15.75">
      <c r="A21" s="8">
        <v>3</v>
      </c>
      <c r="B21" s="4" t="s">
        <v>33</v>
      </c>
      <c r="C21" s="9">
        <v>30</v>
      </c>
      <c r="D21" s="24">
        <f>D38/3928*35</f>
        <v>33.030804480651732</v>
      </c>
      <c r="E21" s="24">
        <f>E38/1979*35</f>
        <v>34.770085901970688</v>
      </c>
      <c r="F21" s="19">
        <v>30</v>
      </c>
      <c r="G21" s="19">
        <f>G38/3227*30</f>
        <v>28.940192128912305</v>
      </c>
      <c r="H21" s="24">
        <f>H38/1644*35</f>
        <v>34.084549878345499</v>
      </c>
      <c r="I21" s="4">
        <v>0</v>
      </c>
      <c r="J21" s="19">
        <v>30</v>
      </c>
      <c r="K21" s="4">
        <v>30</v>
      </c>
      <c r="L21" s="19">
        <v>0</v>
      </c>
      <c r="M21" s="9">
        <f>M38/1634*35</f>
        <v>30.137698898408814</v>
      </c>
      <c r="N21" s="19">
        <v>30</v>
      </c>
      <c r="O21" s="24">
        <v>35</v>
      </c>
      <c r="P21" s="4">
        <f>C21+D21+E21+H21+M21+O21</f>
        <v>197.02313915937674</v>
      </c>
      <c r="Q21" s="23">
        <v>3</v>
      </c>
    </row>
    <row r="22" spans="1:19" ht="15.75">
      <c r="A22" s="8">
        <v>4</v>
      </c>
      <c r="B22" s="4" t="s">
        <v>35</v>
      </c>
      <c r="C22" s="24">
        <f>C38/2367*30</f>
        <v>28.060836501901139</v>
      </c>
      <c r="D22" s="24">
        <f>D38/4478*35</f>
        <v>28.973872264403749</v>
      </c>
      <c r="E22" s="24">
        <f>E38/2175*35</f>
        <v>31.636781609195403</v>
      </c>
      <c r="F22" s="24">
        <f>F38/2485*30</f>
        <v>27.887323943661972</v>
      </c>
      <c r="G22" s="19">
        <f>G38/4240*30</f>
        <v>22.025943396226413</v>
      </c>
      <c r="H22" s="4">
        <v>0</v>
      </c>
      <c r="I22" s="19">
        <f>I38/4212*35</f>
        <v>26.565764482431149</v>
      </c>
      <c r="J22" s="4">
        <f>J38/2512*30</f>
        <v>24.888535031847134</v>
      </c>
      <c r="K22" s="19">
        <f>K38/3280*30</f>
        <v>25.746951219512198</v>
      </c>
      <c r="L22" s="24">
        <f>L38/2290*30</f>
        <v>28.519650655021834</v>
      </c>
      <c r="M22" s="4">
        <f>M38/1975*35</f>
        <v>24.934177215189877</v>
      </c>
      <c r="N22" s="24">
        <f>N38/2995*30</f>
        <v>29.148580968280466</v>
      </c>
      <c r="O22" s="19">
        <v>0</v>
      </c>
      <c r="P22" s="4">
        <f>C22+D22+E22+F22+L22+N22</f>
        <v>174.22704594246457</v>
      </c>
      <c r="Q22" s="1">
        <v>4</v>
      </c>
    </row>
    <row r="23" spans="1:19" ht="15.75">
      <c r="A23" s="8">
        <v>5</v>
      </c>
      <c r="B23" s="4" t="s">
        <v>36</v>
      </c>
      <c r="C23" s="4">
        <f>C38/2700*30</f>
        <v>24.599999999999998</v>
      </c>
      <c r="D23" s="24">
        <f>D38/4691*35</f>
        <v>27.658281816243871</v>
      </c>
      <c r="E23" s="4">
        <v>0</v>
      </c>
      <c r="F23" s="19">
        <f>F38/2621*30</f>
        <v>26.440289965661961</v>
      </c>
      <c r="G23" s="19">
        <f>G38/3826*30</f>
        <v>24.409304756926293</v>
      </c>
      <c r="H23" s="24">
        <f>H38/2045*35</f>
        <v>27.400977995110026</v>
      </c>
      <c r="I23" s="24">
        <f>I38/3973*35</f>
        <v>28.163856028190285</v>
      </c>
      <c r="J23" s="4">
        <f>J38/2339*30</f>
        <v>26.729371526293288</v>
      </c>
      <c r="K23" s="24">
        <f>K38/3097*30</f>
        <v>27.268324184694865</v>
      </c>
      <c r="L23" s="19">
        <f>L38/2623*30</f>
        <v>24.89897064430042</v>
      </c>
      <c r="M23" s="24">
        <f>M38/1682*35</f>
        <v>29.277645659928655</v>
      </c>
      <c r="N23" s="19">
        <f>N38/3216*30</f>
        <v>27.1455223880597</v>
      </c>
      <c r="O23" s="24">
        <f>O38/7528*35</f>
        <v>29.578905419766208</v>
      </c>
      <c r="P23" s="4">
        <f>D23+H23+I23+K23+M23+O23</f>
        <v>169.34799110393391</v>
      </c>
      <c r="Q23" s="1">
        <v>5</v>
      </c>
    </row>
    <row r="24" spans="1:19" ht="15.75">
      <c r="A24" s="8">
        <v>6</v>
      </c>
      <c r="B24" s="4" t="s">
        <v>37</v>
      </c>
      <c r="C24" s="24">
        <f>C38/2587*30</f>
        <v>25.674526478546579</v>
      </c>
      <c r="D24" s="1">
        <f>D38/5066*35</f>
        <v>25.610935649427557</v>
      </c>
      <c r="E24" s="24">
        <f>E38/2354*35</f>
        <v>29.231096006796943</v>
      </c>
      <c r="F24" s="19">
        <f>F38/2729*30</f>
        <v>25.393917185782339</v>
      </c>
      <c r="G24" s="19">
        <f>G38/3938*30</f>
        <v>23.715083798882681</v>
      </c>
      <c r="H24" s="24">
        <f>H38/2059*35</f>
        <v>27.214667314230208</v>
      </c>
      <c r="I24" s="4">
        <v>0</v>
      </c>
      <c r="J24" s="4">
        <f>J38/2659*30</f>
        <v>23.512598721323808</v>
      </c>
      <c r="K24" s="4">
        <f>K38/4057*30</f>
        <v>20.815873798373183</v>
      </c>
      <c r="L24" s="24">
        <f>L38/2497*30</f>
        <v>26.155386463756507</v>
      </c>
      <c r="M24" s="24">
        <f>M38/1759*35</f>
        <v>27.996020466173963</v>
      </c>
      <c r="N24" s="19">
        <f>N38/3611*30</f>
        <v>24.176128496261423</v>
      </c>
      <c r="O24" s="24">
        <f>O38/7866*35</f>
        <v>28.30790744978388</v>
      </c>
      <c r="P24" s="4">
        <f>C24+E24+H24+L24+M24+O24</f>
        <v>164.57960417928808</v>
      </c>
      <c r="Q24" s="1">
        <v>6</v>
      </c>
    </row>
    <row r="25" spans="1:19" ht="15.75">
      <c r="A25" s="25">
        <v>7</v>
      </c>
      <c r="B25" s="6" t="s">
        <v>41</v>
      </c>
      <c r="C25" s="24">
        <f>C38/2947*30</f>
        <v>22.538174414658975</v>
      </c>
      <c r="D25" s="19">
        <v>0</v>
      </c>
      <c r="E25" s="19">
        <v>0</v>
      </c>
      <c r="F25" s="19">
        <f>F38/3477*30</f>
        <v>19.930974978429681</v>
      </c>
      <c r="G25" s="19">
        <f>G38/4945*30</f>
        <v>18.885743174924166</v>
      </c>
      <c r="H25" s="24">
        <f>H38/1783*35</f>
        <v>31.427369601794727</v>
      </c>
      <c r="I25" s="19">
        <v>0</v>
      </c>
      <c r="J25" s="19">
        <v>0</v>
      </c>
      <c r="K25" s="19">
        <v>0</v>
      </c>
      <c r="L25" s="19">
        <f>L38/2871*30</f>
        <v>22.748171368861023</v>
      </c>
      <c r="M25" s="24">
        <f>M38/1584*35</f>
        <v>31.089015151515152</v>
      </c>
      <c r="N25" s="24">
        <f>N38/3366*30</f>
        <v>25.935828877005346</v>
      </c>
      <c r="O25" s="24">
        <f>O38/7475*35</f>
        <v>29.788628762541805</v>
      </c>
      <c r="P25" s="4">
        <f>C25+H25+M25+L25+N25+O25</f>
        <v>163.52718817637702</v>
      </c>
      <c r="Q25" s="1">
        <v>7</v>
      </c>
    </row>
    <row r="26" spans="1:19" ht="15.75">
      <c r="A26" s="25">
        <v>8</v>
      </c>
      <c r="B26" s="6" t="s">
        <v>40</v>
      </c>
      <c r="C26" s="24">
        <f>C38/2632*30</f>
        <v>25.235562310030392</v>
      </c>
      <c r="D26" s="24">
        <f>D38/4944*35</f>
        <v>26.242920711974111</v>
      </c>
      <c r="E26" s="24">
        <f>E38/2620*35</f>
        <v>26.263358778625953</v>
      </c>
      <c r="F26" s="19">
        <f>F38/2964*30</f>
        <v>23.380566801619434</v>
      </c>
      <c r="G26" s="19">
        <f>G38/4477*30</f>
        <v>20.85995085995086</v>
      </c>
      <c r="H26" s="24">
        <f>H38/2063*35</f>
        <v>27.161900145419292</v>
      </c>
      <c r="I26" s="19">
        <f>I38/4439*35</f>
        <v>25.207253886010363</v>
      </c>
      <c r="J26" s="19">
        <f>J38/2758*30</f>
        <v>22.668600435097897</v>
      </c>
      <c r="K26" s="19">
        <f>K38/3730*30</f>
        <v>22.640750670241285</v>
      </c>
      <c r="L26" s="19">
        <v>0</v>
      </c>
      <c r="M26" s="24">
        <f>M38/1814*35</f>
        <v>27.147188533627343</v>
      </c>
      <c r="N26" s="24">
        <f>N38/3325*30</f>
        <v>26.255639097744361</v>
      </c>
      <c r="O26" s="19">
        <f>O38/9526*35</f>
        <v>23.374973756036113</v>
      </c>
      <c r="P26" s="4">
        <f>C26+D26+E26+H26+M26+N26</f>
        <v>158.30656957742147</v>
      </c>
      <c r="Q26" s="1">
        <v>8</v>
      </c>
    </row>
    <row r="27" spans="1:19" ht="15.75">
      <c r="A27" s="12">
        <v>9</v>
      </c>
      <c r="B27" s="7" t="s">
        <v>39</v>
      </c>
      <c r="C27" s="26">
        <v>0</v>
      </c>
      <c r="D27" s="19">
        <f>D38/5759*35</f>
        <v>22.529084910574753</v>
      </c>
      <c r="E27" s="26">
        <v>0</v>
      </c>
      <c r="F27" s="19">
        <f>F38/3245*30</f>
        <v>21.35593220338983</v>
      </c>
      <c r="G27" s="24">
        <f>G38/3799*30</f>
        <v>24.58278494340616</v>
      </c>
      <c r="H27" s="25">
        <v>0</v>
      </c>
      <c r="I27" s="27">
        <f>I38/3796*35</f>
        <v>29.477081138040042</v>
      </c>
      <c r="J27" s="27">
        <f>J38/2523*30</f>
        <v>24.78002378121284</v>
      </c>
      <c r="K27" s="27">
        <f>K38/3039*30</f>
        <v>27.788746298124384</v>
      </c>
      <c r="L27" s="9">
        <f>L38/2714*30</f>
        <v>24.064112011790712</v>
      </c>
      <c r="M27" s="8">
        <v>0</v>
      </c>
      <c r="N27" s="24">
        <f>N38/3206*30</f>
        <v>27.230193387398629</v>
      </c>
      <c r="O27" s="1">
        <f>O38/9628*35</f>
        <v>23.127336933942669</v>
      </c>
      <c r="P27" s="4">
        <f>G27+I27+J27+K27+L27+N27</f>
        <v>157.92294155997277</v>
      </c>
      <c r="Q27" s="1">
        <v>9</v>
      </c>
    </row>
    <row r="28" spans="1:19" ht="15.75">
      <c r="A28" s="12">
        <v>10</v>
      </c>
      <c r="B28" s="7" t="s">
        <v>38</v>
      </c>
      <c r="C28" s="26">
        <v>0</v>
      </c>
      <c r="D28" s="26">
        <v>0</v>
      </c>
      <c r="E28" s="26">
        <v>0</v>
      </c>
      <c r="F28" s="19">
        <v>0</v>
      </c>
      <c r="G28" s="19">
        <v>0</v>
      </c>
      <c r="H28" s="25">
        <v>0</v>
      </c>
      <c r="I28" s="27">
        <f>I38/3709*35</f>
        <v>30.16850903208412</v>
      </c>
      <c r="J28" s="27">
        <f>J38/2315*30</f>
        <v>27.006479481641467</v>
      </c>
      <c r="K28" s="27">
        <f>K38/3074*30</f>
        <v>27.47234873129473</v>
      </c>
      <c r="L28" s="9">
        <f>L38/2333*30</f>
        <v>27.993999142734676</v>
      </c>
      <c r="M28" s="27">
        <f>M38/1456*35</f>
        <v>33.822115384615387</v>
      </c>
      <c r="N28" s="19">
        <v>0</v>
      </c>
      <c r="O28" s="19">
        <v>0</v>
      </c>
      <c r="P28" s="4">
        <f>I28+J28+K28+L28+M28</f>
        <v>146.46345177237038</v>
      </c>
      <c r="Q28" s="1">
        <v>10</v>
      </c>
    </row>
    <row r="29" spans="1:19" ht="15.75">
      <c r="A29" s="12">
        <v>11</v>
      </c>
      <c r="B29" s="6" t="s">
        <v>22</v>
      </c>
      <c r="C29" s="19">
        <v>0</v>
      </c>
      <c r="D29" s="19">
        <v>0</v>
      </c>
      <c r="E29" s="19">
        <v>0</v>
      </c>
      <c r="F29" s="24">
        <f>F38/3584*30</f>
        <v>19.3359375</v>
      </c>
      <c r="G29" s="24">
        <f>G38/4698*30</f>
        <v>19.878671775223502</v>
      </c>
      <c r="H29" s="24">
        <f>H38/2074*35</f>
        <v>27.017839922854389</v>
      </c>
      <c r="I29" s="19">
        <v>0</v>
      </c>
      <c r="J29" s="19">
        <v>0</v>
      </c>
      <c r="K29" s="19">
        <v>0</v>
      </c>
      <c r="L29" s="19">
        <v>0</v>
      </c>
      <c r="M29" s="24">
        <f>M38/1836*35</f>
        <v>26.821895424836605</v>
      </c>
      <c r="N29" s="24">
        <f>N38/3472*30</f>
        <v>25.144009216589865</v>
      </c>
      <c r="O29" s="24">
        <f>O38/7947*35</f>
        <v>28.019378381779291</v>
      </c>
      <c r="P29" s="4">
        <f>F29+G29+H29+M29+N29+O29</f>
        <v>146.21773222128365</v>
      </c>
      <c r="Q29" s="1">
        <v>11</v>
      </c>
    </row>
    <row r="30" spans="1:19" ht="15.75">
      <c r="A30" s="12">
        <v>12</v>
      </c>
      <c r="B30" s="6" t="s">
        <v>10</v>
      </c>
      <c r="C30" s="19">
        <f>C38/3471*30</f>
        <v>19.135695764909247</v>
      </c>
      <c r="D30" s="24">
        <f>D38/5961*35</f>
        <v>21.765643348431471</v>
      </c>
      <c r="E30" s="24">
        <f>E38/2771*35</f>
        <v>24.832190544929631</v>
      </c>
      <c r="F30" s="19">
        <f>F38/3465*30</f>
        <v>20</v>
      </c>
      <c r="G30" s="19">
        <f>G38/5236*30</f>
        <v>17.836134453781511</v>
      </c>
      <c r="H30" s="24">
        <f>H38/2457*35</f>
        <v>22.806267806267808</v>
      </c>
      <c r="I30" s="19">
        <f>I38/5993*35</f>
        <v>18.670949441014518</v>
      </c>
      <c r="J30" s="19">
        <f>J38/3206*30</f>
        <v>19.500935745477232</v>
      </c>
      <c r="K30" s="19">
        <f>K38/5025*30</f>
        <v>16.805970149253731</v>
      </c>
      <c r="L30" s="19">
        <v>0</v>
      </c>
      <c r="M30" s="24">
        <f>M38/1950*35</f>
        <v>25.253846153846155</v>
      </c>
      <c r="N30" s="24">
        <f>N38/3810*30</f>
        <v>22.913385826771652</v>
      </c>
      <c r="O30" s="24">
        <f>O38/10540*35</f>
        <v>21.126185958254272</v>
      </c>
      <c r="P30" s="4">
        <f>D30+E30+H30+M30+N30+O30</f>
        <v>138.69751963850098</v>
      </c>
      <c r="Q30" s="1">
        <v>12</v>
      </c>
    </row>
    <row r="31" spans="1:19" ht="15.75">
      <c r="A31" s="12">
        <v>13</v>
      </c>
      <c r="B31" s="6" t="s">
        <v>42</v>
      </c>
      <c r="C31" s="24">
        <f>C38/3147*30</f>
        <v>21.105815061963774</v>
      </c>
      <c r="D31" s="19">
        <f>D38/7342*35</f>
        <v>17.671615363661125</v>
      </c>
      <c r="E31" s="19">
        <f>E38/3877*35</f>
        <v>17.748258963115813</v>
      </c>
      <c r="F31" s="24">
        <f>F38/3175*30</f>
        <v>21.826771653543307</v>
      </c>
      <c r="G31" s="19">
        <f>G38/4925*30</f>
        <v>18.962436548223351</v>
      </c>
      <c r="H31" s="24">
        <f>H38/2669*35</f>
        <v>20.994754589733983</v>
      </c>
      <c r="I31" s="19">
        <f>I38/7383*35</f>
        <v>15.155763239875389</v>
      </c>
      <c r="J31" s="19">
        <v>0</v>
      </c>
      <c r="K31" s="19">
        <f>K38/5389*30</f>
        <v>15.670810911115236</v>
      </c>
      <c r="L31" s="19">
        <f>L38/3648*30</f>
        <v>17.902960526315788</v>
      </c>
      <c r="M31" s="24">
        <f>M38/2295*35</f>
        <v>21.457516339869283</v>
      </c>
      <c r="N31" s="24">
        <f>N38/4229*30</f>
        <v>20.643178056278082</v>
      </c>
      <c r="O31" s="24">
        <f>O38/9978*35</f>
        <v>22.316095409901784</v>
      </c>
      <c r="P31" s="4">
        <f>C31+F31+H31+M31+N31+O31</f>
        <v>128.34413111129021</v>
      </c>
      <c r="Q31" s="1">
        <v>13</v>
      </c>
    </row>
    <row r="32" spans="1:19" ht="15.75">
      <c r="A32" s="12">
        <v>14</v>
      </c>
      <c r="B32" s="6" t="s">
        <v>11</v>
      </c>
      <c r="C32" s="24">
        <f>C38/3536*30</f>
        <v>18.783936651583709</v>
      </c>
      <c r="D32" s="24">
        <f>D38/6704*35</f>
        <v>19.353371121718379</v>
      </c>
      <c r="E32" s="24">
        <f>E38/3730*35</f>
        <v>18.447721179624665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9">
        <f>L38/3298*30</f>
        <v>19.802910855063676</v>
      </c>
      <c r="M32" s="19">
        <v>0</v>
      </c>
      <c r="N32" s="24">
        <f>N38/5051*30</f>
        <v>17.283706196792714</v>
      </c>
      <c r="O32" s="24">
        <f>O38/10036*35</f>
        <v>22.187126345157434</v>
      </c>
      <c r="P32" s="4">
        <f>C32+D32+E32+L32+N32+O32</f>
        <v>115.85877234994057</v>
      </c>
      <c r="Q32" s="1">
        <v>15</v>
      </c>
    </row>
    <row r="33" spans="1:19" ht="15.75">
      <c r="A33" s="12">
        <v>15</v>
      </c>
      <c r="B33" s="6" t="s">
        <v>12</v>
      </c>
      <c r="C33" s="19">
        <f>C38/3799*30</f>
        <v>17.483548302184786</v>
      </c>
      <c r="D33" s="24">
        <f>D38/7126*35</f>
        <v>18.207269155206287</v>
      </c>
      <c r="E33" s="24">
        <f>E38/3215*35</f>
        <v>21.402799377916022</v>
      </c>
      <c r="F33" s="24">
        <f>F38/3861*30</f>
        <v>17.948717948717949</v>
      </c>
      <c r="G33" s="24">
        <f>G38/5173*30</f>
        <v>18.053353953218636</v>
      </c>
      <c r="H33" s="24">
        <f>H38/2674*35</f>
        <v>20.955497382198953</v>
      </c>
      <c r="I33" s="19">
        <v>0</v>
      </c>
      <c r="J33" s="24">
        <f>J38/3393*30</f>
        <v>18.426171529619808</v>
      </c>
      <c r="K33" s="19">
        <f>K38/5364*30</f>
        <v>15.743847874720359</v>
      </c>
      <c r="L33" s="19">
        <v>0</v>
      </c>
      <c r="M33" s="19">
        <v>0</v>
      </c>
      <c r="N33" s="19">
        <f>N38/5455*30</f>
        <v>16.003666361136574</v>
      </c>
      <c r="O33" s="19">
        <v>0</v>
      </c>
      <c r="P33" s="4">
        <f>D33+E33+F33+G33+H33+J33</f>
        <v>114.99380934687765</v>
      </c>
      <c r="Q33" s="1">
        <v>14</v>
      </c>
    </row>
    <row r="34" spans="1:19" ht="15.75">
      <c r="A34" s="12">
        <v>16</v>
      </c>
      <c r="B34" s="6" t="s">
        <v>44</v>
      </c>
      <c r="C34" s="1">
        <v>0</v>
      </c>
      <c r="D34" s="1">
        <v>0</v>
      </c>
      <c r="E34" s="19">
        <v>0</v>
      </c>
      <c r="F34" s="19">
        <v>0</v>
      </c>
      <c r="G34" s="19">
        <v>0</v>
      </c>
      <c r="H34" s="19">
        <v>0</v>
      </c>
      <c r="I34" s="1">
        <v>0</v>
      </c>
      <c r="J34" s="9">
        <f>J38/2404*30</f>
        <v>26.006655574043261</v>
      </c>
      <c r="K34" s="19">
        <v>0</v>
      </c>
      <c r="L34" s="9">
        <f>L38/2576*30</f>
        <v>25.353260869565219</v>
      </c>
      <c r="M34" s="9">
        <f>M38/1717*35</f>
        <v>28.680838672102507</v>
      </c>
      <c r="N34" s="9">
        <f>N38/3576*30</f>
        <v>24.412751677852349</v>
      </c>
      <c r="O34" s="19">
        <v>0</v>
      </c>
      <c r="P34" s="4">
        <f>J34+L34+M34+N34</f>
        <v>104.45350679356335</v>
      </c>
      <c r="Q34" s="1">
        <v>17</v>
      </c>
    </row>
    <row r="35" spans="1:19" ht="15.75">
      <c r="A35" s="12">
        <v>17</v>
      </c>
      <c r="B35" s="6" t="s">
        <v>13</v>
      </c>
      <c r="C35" s="24">
        <f>C38/4180*30</f>
        <v>15.889952153110048</v>
      </c>
      <c r="D35" s="24">
        <f>D38/6287*35</f>
        <v>20.637028789565768</v>
      </c>
      <c r="E35" s="24">
        <f>E38/2691*35</f>
        <v>25.570419918246003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9">
        <f>L38/3612*30</f>
        <v>18.081395348837209</v>
      </c>
      <c r="M35" s="19">
        <v>0</v>
      </c>
      <c r="N35" s="19">
        <v>0</v>
      </c>
      <c r="O35" s="19">
        <v>0</v>
      </c>
      <c r="P35" s="4">
        <f>C35+D35+E35+L35</f>
        <v>80.178796209759028</v>
      </c>
      <c r="Q35" s="1">
        <v>16</v>
      </c>
    </row>
    <row r="36" spans="1:19" ht="15.75">
      <c r="A36" s="12">
        <v>18</v>
      </c>
      <c r="B36" s="6" t="s">
        <v>17</v>
      </c>
      <c r="C36" s="19">
        <v>0</v>
      </c>
      <c r="D36" s="24">
        <f>D38/7342*35</f>
        <v>17.671615363661125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9">
        <f>L38/4077*30</f>
        <v>16.019131714495956</v>
      </c>
      <c r="M36" s="24">
        <f>M38/3062*35</f>
        <v>16.082625734813849</v>
      </c>
      <c r="N36" s="24">
        <f>N38/4484*30</f>
        <v>19.46922390722569</v>
      </c>
      <c r="O36" s="19">
        <v>0</v>
      </c>
      <c r="P36" s="4">
        <f>D36+M36+L36+N36</f>
        <v>69.242596720196616</v>
      </c>
      <c r="Q36" s="1">
        <v>18</v>
      </c>
    </row>
    <row r="37" spans="1:19" ht="15.75">
      <c r="A37" s="28"/>
      <c r="B37" s="21"/>
      <c r="C37" s="21"/>
      <c r="D37" s="21"/>
      <c r="E37" s="21"/>
      <c r="F37" s="21"/>
      <c r="G37" s="21"/>
      <c r="H37" s="21"/>
      <c r="I37" s="21"/>
      <c r="J37" s="21"/>
      <c r="K37" s="21"/>
      <c r="M37" s="21"/>
      <c r="N37" s="21"/>
      <c r="O37" s="21"/>
      <c r="P37" s="21"/>
      <c r="Q37" s="21"/>
      <c r="S37" s="21"/>
    </row>
    <row r="38" spans="1:19" ht="15.75">
      <c r="A38" s="28"/>
      <c r="B38" s="21"/>
      <c r="C38">
        <v>2214</v>
      </c>
      <c r="D38">
        <v>3707</v>
      </c>
      <c r="E38">
        <v>1966</v>
      </c>
      <c r="F38">
        <v>2310</v>
      </c>
      <c r="G38">
        <v>3113</v>
      </c>
      <c r="H38">
        <v>1601</v>
      </c>
      <c r="I38">
        <v>3197</v>
      </c>
      <c r="J38">
        <v>2084</v>
      </c>
      <c r="K38">
        <v>2815</v>
      </c>
      <c r="L38">
        <v>2177</v>
      </c>
      <c r="M38">
        <v>1407</v>
      </c>
      <c r="N38">
        <v>2910</v>
      </c>
      <c r="O38">
        <v>6362</v>
      </c>
      <c r="P38" s="21"/>
      <c r="Q38" s="21"/>
      <c r="S38" s="21"/>
    </row>
    <row r="46" spans="1:19" ht="15.75">
      <c r="A46" s="28"/>
      <c r="B46" s="20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1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2019-12-10T18:12:12Z</dcterms:modified>
</cp:coreProperties>
</file>